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" sheetId="9" r:id="rId9"/>
  </sheets>
  <externalReferences>
    <externalReference r:id="rId12"/>
  </externalReferences>
  <definedNames>
    <definedName name="_xlnm.Print_Area" localSheetId="8">'січень'!$A$1:$R$87</definedName>
    <definedName name="_xlnm.Print_Area" localSheetId="2">'червень'!$B$2:$J$85</definedName>
  </definedNames>
  <calcPr fullCalcOnLoad="1"/>
</workbook>
</file>

<file path=xl/sharedStrings.xml><?xml version="1.0" encoding="utf-8"?>
<sst xmlns="http://schemas.openxmlformats.org/spreadsheetml/2006/main" count="1159" uniqueCount="198">
  <si>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</si>
  <si>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</si>
  <si>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</si>
  <si>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</si>
  <si>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</si>
  <si>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</si>
  <si>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</si>
  <si>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</si>
  <si>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</si>
  <si>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</si>
  <si>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</si>
  <si>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</si>
  <si>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</si>
  <si>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</si>
  <si>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</si>
  <si>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</si>
  <si>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</si>
  <si>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</si>
  <si>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</si>
  <si>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</si>
  <si>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</si>
  <si>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</si>
  <si>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</si>
  <si>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</si>
  <si>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</si>
  <si>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</si>
  <si>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</si>
  <si>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</si>
  <si>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</si>
  <si>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</si>
  <si>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</si>
  <si>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</si>
  <si>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</si>
  <si>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</si>
  <si>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</si>
  <si>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</si>
  <si>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</si>
  <si>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</si>
  <si>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</si>
  <si>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</si>
  <si>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</si>
  <si>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</si>
  <si>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</si>
  <si>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</si>
  <si>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</si>
  <si>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</si>
  <si>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</si>
  <si>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</si>
  <si>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</si>
  <si>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</si>
  <si>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</si>
  <si>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</si>
  <si>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</si>
  <si>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</si>
  <si>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</si>
  <si>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</si>
  <si>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</si>
  <si>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</si>
  <si>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</si>
  <si>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</si>
  <si>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</si>
  <si>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</si>
  <si>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</si>
  <si>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</si>
  <si>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</si>
  <si>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</si>
  <si>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</si>
  <si>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</si>
  <si>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</si>
  <si>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</si>
  <si>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</si>
  <si>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</si>
  <si>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</si>
  <si>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</si>
  <si>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</si>
  <si>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</si>
  <si>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</si>
  <si>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</si>
  <si>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</si>
  <si>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</si>
  <si>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</si>
  <si>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</si>
  <si>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</si>
  <si>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</si>
  <si>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</si>
  <si>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</si>
  <si>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</si>
  <si>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</si>
  <si>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</si>
  <si>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</si>
  <si>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</si>
  <si>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</si>
  <si>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</si>
  <si>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</si>
  <si>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</si>
  <si>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</si>
  <si>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</si>
  <si>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</si>
  <si>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</si>
  <si>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</si>
  <si>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</si>
  <si>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</si>
  <si>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</si>
  <si>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</si>
  <si>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</si>
  <si>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</si>
  <si>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</si>
  <si>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</si>
  <si>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</si>
  <si>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</si>
  <si>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</si>
  <si>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</si>
  <si>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</si>
  <si>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</si>
  <si>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</si>
  <si>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</si>
  <si>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</si>
  <si>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</si>
  <si>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</si>
  <si>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</si>
  <si>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</si>
  <si>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</si>
  <si>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</si>
  <si>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</si>
  <si>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</si>
  <si>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</si>
  <si>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</si>
  <si>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</si>
  <si>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</si>
  <si>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</si>
  <si>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</si>
  <si>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</si>
  <si>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</si>
  <si>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</si>
  <si>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</si>
  <si>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</si>
  <si>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</si>
  <si>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</si>
  <si>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</si>
  <si>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</si>
  <si>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</si>
  <si>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</si>
  <si>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</si>
  <si>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</si>
  <si>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</si>
  <si>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</si>
  <si>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</si>
  <si>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</si>
  <si>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</si>
  <si>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</si>
  <si>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</si>
  <si>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</si>
  <si>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</si>
  <si>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</si>
  <si>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</si>
  <si>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</si>
  <si>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</si>
  <si>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</si>
  <si>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</si>
  <si>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</si>
  <si>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</si>
  <si>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</si>
  <si>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</si>
  <si>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</si>
  <si>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</si>
  <si>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</si>
  <si>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</si>
  <si>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</si>
  <si>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</si>
  <si>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</si>
  <si>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</si>
  <si>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</si>
  <si>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</si>
  <si>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</si>
  <si>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</si>
  <si>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</si>
  <si>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</si>
  <si>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</si>
  <si>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</si>
  <si>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</si>
  <si>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</si>
  <si>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</si>
  <si>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</si>
  <si>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</si>
  <si>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</si>
  <si>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</si>
  <si>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</si>
  <si>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</si>
  <si>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</si>
  <si>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</si>
  <si>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</si>
  <si>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</si>
  <si>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</si>
  <si>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</si>
  <si>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</si>
  <si>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</si>
  <si>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</si>
  <si>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22.08.16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</si>
</sst>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Лист1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3546879.22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77">
      <selection activeCell="E98" sqref="E9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196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193</v>
      </c>
      <c r="O3" s="445" t="s">
        <v>194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190</v>
      </c>
      <c r="F4" s="428" t="s">
        <v>34</v>
      </c>
      <c r="G4" s="421" t="s">
        <v>191</v>
      </c>
      <c r="H4" s="430" t="s">
        <v>192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197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195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616527.98</v>
      </c>
      <c r="F8" s="191">
        <f>F9+F15+F18+F19+F20+F37+F17</f>
        <v>602060.02</v>
      </c>
      <c r="G8" s="191">
        <f aca="true" t="shared" si="0" ref="G8:G37">F8-E8</f>
        <v>-14467.959999999963</v>
      </c>
      <c r="H8" s="192">
        <f>F8/E8*100</f>
        <v>97.65331656156141</v>
      </c>
      <c r="I8" s="193">
        <f>F8-D8</f>
        <v>-332011.43000000005</v>
      </c>
      <c r="J8" s="193">
        <f>F8/D8*100</f>
        <v>64.45545680686419</v>
      </c>
      <c r="K8" s="191">
        <f>429512.12</f>
        <v>429512.12</v>
      </c>
      <c r="L8" s="191">
        <f aca="true" t="shared" si="1" ref="L8:L51">F8-K8</f>
        <v>172547.90000000002</v>
      </c>
      <c r="M8" s="250">
        <f aca="true" t="shared" si="2" ref="M8:M28">F8/K8</f>
        <v>1.4017299907625425</v>
      </c>
      <c r="N8" s="191">
        <f>N9+N15+N18+N19+N20+N17</f>
        <v>117576.69999999995</v>
      </c>
      <c r="O8" s="191">
        <f>O9+O15+O18+O19+O20+O17</f>
        <v>58253.05999999997</v>
      </c>
      <c r="P8" s="191">
        <f>O8-N8</f>
        <v>-59323.639999999985</v>
      </c>
      <c r="Q8" s="191">
        <f>O8/N8*100</f>
        <v>49.54473122651001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328493.67</v>
      </c>
      <c r="F9" s="196">
        <v>327620</v>
      </c>
      <c r="G9" s="190">
        <f t="shared" si="0"/>
        <v>-873.6699999999837</v>
      </c>
      <c r="H9" s="197">
        <f>F9/E9*100</f>
        <v>99.7340374930208</v>
      </c>
      <c r="I9" s="198">
        <f>F9-D9</f>
        <v>-202969</v>
      </c>
      <c r="J9" s="198">
        <f>F9/D9*100</f>
        <v>61.74647420131213</v>
      </c>
      <c r="K9" s="199">
        <v>233711.01</v>
      </c>
      <c r="L9" s="199">
        <f t="shared" si="1"/>
        <v>93908.98999999999</v>
      </c>
      <c r="M9" s="251">
        <f t="shared" si="2"/>
        <v>1.4018167137269228</v>
      </c>
      <c r="N9" s="197">
        <f>E9-липень!E9</f>
        <v>65234.399999999965</v>
      </c>
      <c r="O9" s="200">
        <f>F9-липень!F9</f>
        <v>32210.28999999998</v>
      </c>
      <c r="P9" s="201">
        <f>O9-N9</f>
        <v>-33024.109999999986</v>
      </c>
      <c r="Q9" s="198">
        <f>O9/N9*100</f>
        <v>49.37623401150313</v>
      </c>
      <c r="R9" s="106"/>
      <c r="S9" s="107"/>
      <c r="T9" s="186">
        <f>D9-E9</f>
        <v>202095.33000000002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269999.17</v>
      </c>
      <c r="G10" s="109">
        <f t="shared" si="0"/>
        <v>-25371.070000000007</v>
      </c>
      <c r="H10" s="32">
        <f aca="true" t="shared" si="3" ref="H10:H36">F10/E10*100</f>
        <v>91.41041765074233</v>
      </c>
      <c r="I10" s="110">
        <f aca="true" t="shared" si="4" ref="I10:I37">F10-D10</f>
        <v>-215209.83000000002</v>
      </c>
      <c r="J10" s="110">
        <f aca="true" t="shared" si="5" ref="J10:J36">F10/D10*100</f>
        <v>55.64595256889299</v>
      </c>
      <c r="K10" s="112">
        <v>206618.21</v>
      </c>
      <c r="L10" s="112">
        <f t="shared" si="1"/>
        <v>63380.95999999999</v>
      </c>
      <c r="M10" s="252">
        <f t="shared" si="2"/>
        <v>1.3067539884311261</v>
      </c>
      <c r="N10" s="111">
        <f>E10-липень!E10</f>
        <v>61354.399999999994</v>
      </c>
      <c r="O10" s="179">
        <f>F10-липень!F10</f>
        <v>10893.26999999999</v>
      </c>
      <c r="P10" s="112">
        <f aca="true" t="shared" si="6" ref="P10:P37">O10-N10</f>
        <v>-50461.130000000005</v>
      </c>
      <c r="Q10" s="198">
        <f aca="true" t="shared" si="7" ref="Q10:Q16">O10/N10*100</f>
        <v>17.75466796187395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17714.94</v>
      </c>
      <c r="F11" s="171">
        <v>21590.86</v>
      </c>
      <c r="G11" s="109">
        <f t="shared" si="0"/>
        <v>3875.920000000002</v>
      </c>
      <c r="H11" s="32">
        <f t="shared" si="3"/>
        <v>121.87938542269971</v>
      </c>
      <c r="I11" s="110">
        <f t="shared" si="4"/>
        <v>-1409.1399999999994</v>
      </c>
      <c r="J11" s="110">
        <f t="shared" si="5"/>
        <v>93.87330434782609</v>
      </c>
      <c r="K11" s="112">
        <v>12408.56</v>
      </c>
      <c r="L11" s="112">
        <f t="shared" si="1"/>
        <v>9182.300000000001</v>
      </c>
      <c r="M11" s="252">
        <f t="shared" si="2"/>
        <v>1.7399972277202191</v>
      </c>
      <c r="N11" s="111">
        <f>E11-липень!E11</f>
        <v>1799.9999999999982</v>
      </c>
      <c r="O11" s="179">
        <f>F11-липень!F11</f>
        <v>4.830000000001746</v>
      </c>
      <c r="P11" s="112">
        <f t="shared" si="6"/>
        <v>-1795.1699999999964</v>
      </c>
      <c r="Q11" s="198">
        <f t="shared" si="7"/>
        <v>0.2683333333334306</v>
      </c>
      <c r="R11" s="42"/>
      <c r="S11" s="100"/>
      <c r="T11" s="186">
        <f t="shared" si="8"/>
        <v>5285.060000000001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3600.61</v>
      </c>
      <c r="F12" s="171">
        <v>5957</v>
      </c>
      <c r="G12" s="109">
        <f t="shared" si="0"/>
        <v>2356.39</v>
      </c>
      <c r="H12" s="32">
        <f t="shared" si="3"/>
        <v>165.44418862359433</v>
      </c>
      <c r="I12" s="110">
        <f t="shared" si="4"/>
        <v>-543</v>
      </c>
      <c r="J12" s="110">
        <f t="shared" si="5"/>
        <v>91.64615384615385</v>
      </c>
      <c r="K12" s="112">
        <v>3331.36</v>
      </c>
      <c r="L12" s="112">
        <f t="shared" si="1"/>
        <v>2625.64</v>
      </c>
      <c r="M12" s="252">
        <f t="shared" si="2"/>
        <v>1.788158589885212</v>
      </c>
      <c r="N12" s="111">
        <f>E12-липень!E12</f>
        <v>330</v>
      </c>
      <c r="O12" s="179">
        <f>F12-липень!F12</f>
        <v>119.5600000000004</v>
      </c>
      <c r="P12" s="112">
        <f t="shared" si="6"/>
        <v>-210.4399999999996</v>
      </c>
      <c r="Q12" s="198">
        <f t="shared" si="7"/>
        <v>36.230303030303155</v>
      </c>
      <c r="R12" s="42"/>
      <c r="S12" s="100"/>
      <c r="T12" s="186">
        <f t="shared" si="8"/>
        <v>2899.39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6531.11</v>
      </c>
      <c r="G13" s="109">
        <f t="shared" si="0"/>
        <v>-1833.7300000000005</v>
      </c>
      <c r="H13" s="32">
        <f t="shared" si="3"/>
        <v>78.0781222354522</v>
      </c>
      <c r="I13" s="110">
        <f t="shared" si="4"/>
        <v>-5868.89</v>
      </c>
      <c r="J13" s="110">
        <f t="shared" si="5"/>
        <v>52.670241935483865</v>
      </c>
      <c r="K13" s="112">
        <v>4976.73</v>
      </c>
      <c r="L13" s="112">
        <f t="shared" si="1"/>
        <v>1554.38</v>
      </c>
      <c r="M13" s="252">
        <f t="shared" si="2"/>
        <v>1.312329581874042</v>
      </c>
      <c r="N13" s="111">
        <f>E13-липень!E13</f>
        <v>1600</v>
      </c>
      <c r="O13" s="179">
        <f>F13-липень!F13</f>
        <v>101.64999999999964</v>
      </c>
      <c r="P13" s="112">
        <f t="shared" si="6"/>
        <v>-1498.3500000000004</v>
      </c>
      <c r="Q13" s="198">
        <f t="shared" si="7"/>
        <v>6.353124999999977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2487.51</v>
      </c>
      <c r="G14" s="109">
        <f t="shared" si="0"/>
        <v>-955.5299999999997</v>
      </c>
      <c r="H14" s="32">
        <f t="shared" si="3"/>
        <v>72.24749058971143</v>
      </c>
      <c r="I14" s="110">
        <f t="shared" si="4"/>
        <v>-992.4899999999998</v>
      </c>
      <c r="J14" s="110">
        <f t="shared" si="5"/>
        <v>71.48017241379311</v>
      </c>
      <c r="K14" s="112">
        <v>6376.14</v>
      </c>
      <c r="L14" s="112">
        <f t="shared" si="1"/>
        <v>-3888.63</v>
      </c>
      <c r="M14" s="252">
        <f t="shared" si="2"/>
        <v>0.3901278830138611</v>
      </c>
      <c r="N14" s="111">
        <f>E14-липень!E14</f>
        <v>150</v>
      </c>
      <c r="O14" s="179">
        <f>F14-липень!F14</f>
        <v>36.63000000000011</v>
      </c>
      <c r="P14" s="112">
        <f t="shared" si="6"/>
        <v>-113.36999999999989</v>
      </c>
      <c r="Q14" s="198">
        <f t="shared" si="7"/>
        <v>24.420000000000073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370.4</v>
      </c>
      <c r="G15" s="190">
        <f t="shared" si="0"/>
        <v>5.399999999999977</v>
      </c>
      <c r="H15" s="197">
        <f>F15/E15*100</f>
        <v>101.47945205479452</v>
      </c>
      <c r="I15" s="198">
        <f t="shared" si="4"/>
        <v>-129.60000000000002</v>
      </c>
      <c r="J15" s="198">
        <f t="shared" si="5"/>
        <v>74.07999999999998</v>
      </c>
      <c r="K15" s="201">
        <v>-734.58</v>
      </c>
      <c r="L15" s="201">
        <f t="shared" si="1"/>
        <v>1104.98</v>
      </c>
      <c r="M15" s="253">
        <f t="shared" si="2"/>
        <v>-0.5042337117808815</v>
      </c>
      <c r="N15" s="197">
        <f>E15-липень!E15</f>
        <v>115</v>
      </c>
      <c r="O15" s="200">
        <f>F15-липень!F15</f>
        <v>61.15999999999997</v>
      </c>
      <c r="P15" s="201">
        <f t="shared" si="6"/>
        <v>-53.84000000000003</v>
      </c>
      <c r="Q15" s="198">
        <f t="shared" si="7"/>
        <v>53.18260869565214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55941.3</v>
      </c>
      <c r="G19" s="190">
        <f t="shared" si="0"/>
        <v>-13319.099999999991</v>
      </c>
      <c r="H19" s="197">
        <f t="shared" si="3"/>
        <v>80.7695306408857</v>
      </c>
      <c r="I19" s="198">
        <f t="shared" si="4"/>
        <v>-53958.7</v>
      </c>
      <c r="J19" s="198">
        <f t="shared" si="5"/>
        <v>50.902001819836215</v>
      </c>
      <c r="K19" s="209">
        <v>43877.66</v>
      </c>
      <c r="L19" s="201">
        <f t="shared" si="1"/>
        <v>12063.64</v>
      </c>
      <c r="M19" s="259">
        <f t="shared" si="2"/>
        <v>1.2749380892235365</v>
      </c>
      <c r="N19" s="197">
        <f>E19-липень!E19</f>
        <v>10499.999999999993</v>
      </c>
      <c r="O19" s="200">
        <f>F19-липень!F19</f>
        <v>1650.1000000000058</v>
      </c>
      <c r="P19" s="201">
        <f t="shared" si="6"/>
        <v>-8849.899999999987</v>
      </c>
      <c r="Q19" s="198">
        <f aca="true" t="shared" si="9" ref="Q19:Q24">O19/N19*100</f>
        <v>15.715238095238163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218303.11</v>
      </c>
      <c r="F20" s="272">
        <f>F21+F29+F30+F31+F32</f>
        <v>218022.34999999998</v>
      </c>
      <c r="G20" s="190">
        <f t="shared" si="0"/>
        <v>-280.7600000000093</v>
      </c>
      <c r="H20" s="197">
        <f t="shared" si="3"/>
        <v>99.87138983040599</v>
      </c>
      <c r="I20" s="198">
        <f t="shared" si="4"/>
        <v>-74954.30000000005</v>
      </c>
      <c r="J20" s="198">
        <f t="shared" si="5"/>
        <v>74.41628880663356</v>
      </c>
      <c r="K20" s="198">
        <v>147068.17</v>
      </c>
      <c r="L20" s="201">
        <f t="shared" si="1"/>
        <v>70954.17999999996</v>
      </c>
      <c r="M20" s="254">
        <f t="shared" si="2"/>
        <v>1.482457760914547</v>
      </c>
      <c r="N20" s="197">
        <f>N21+N30+N31+N32</f>
        <v>41631.5</v>
      </c>
      <c r="O20" s="200">
        <f>F20-липень!F20</f>
        <v>24331.50999999998</v>
      </c>
      <c r="P20" s="201">
        <f t="shared" si="6"/>
        <v>-17299.99000000002</v>
      </c>
      <c r="Q20" s="198">
        <f t="shared" si="9"/>
        <v>58.44495153909895</v>
      </c>
      <c r="R20" s="113"/>
      <c r="S20" s="114"/>
      <c r="T20" s="186">
        <f t="shared" si="8"/>
        <v>74673.54000000004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119438.95999999999</v>
      </c>
      <c r="F21" s="211">
        <f>F22+F25+F26</f>
        <v>111818.4</v>
      </c>
      <c r="G21" s="190">
        <f t="shared" si="0"/>
        <v>-7620.559999999998</v>
      </c>
      <c r="H21" s="197">
        <f t="shared" si="3"/>
        <v>93.61970331958685</v>
      </c>
      <c r="I21" s="198">
        <f t="shared" si="4"/>
        <v>-63081.25</v>
      </c>
      <c r="J21" s="198">
        <f t="shared" si="5"/>
        <v>63.93288951693157</v>
      </c>
      <c r="K21" s="198">
        <v>79798.88</v>
      </c>
      <c r="L21" s="201">
        <f t="shared" si="1"/>
        <v>32019.51999999999</v>
      </c>
      <c r="M21" s="254">
        <f t="shared" si="2"/>
        <v>1.4012527494120217</v>
      </c>
      <c r="N21" s="197">
        <f>N22+N25+N26</f>
        <v>22950.3</v>
      </c>
      <c r="O21" s="200">
        <f>F21-червень!F21</f>
        <v>25824.009999999995</v>
      </c>
      <c r="P21" s="201">
        <f t="shared" si="6"/>
        <v>2873.7099999999955</v>
      </c>
      <c r="Q21" s="198">
        <f t="shared" si="9"/>
        <v>112.52144852137008</v>
      </c>
      <c r="R21" s="113"/>
      <c r="S21" s="114"/>
      <c r="T21" s="186">
        <f t="shared" si="8"/>
        <v>55460.69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14564.3</v>
      </c>
      <c r="G22" s="212">
        <f t="shared" si="0"/>
        <v>-12.600000000000364</v>
      </c>
      <c r="H22" s="214">
        <f t="shared" si="3"/>
        <v>99.91356186843568</v>
      </c>
      <c r="I22" s="215">
        <f t="shared" si="4"/>
        <v>-3935.7000000000007</v>
      </c>
      <c r="J22" s="215">
        <f t="shared" si="5"/>
        <v>78.72594594594594</v>
      </c>
      <c r="K22" s="216">
        <v>8673.74</v>
      </c>
      <c r="L22" s="206">
        <f t="shared" si="1"/>
        <v>5890.5599999999995</v>
      </c>
      <c r="M22" s="262">
        <f t="shared" si="2"/>
        <v>1.6791257289243164</v>
      </c>
      <c r="N22" s="214">
        <f>E22-липень!E22</f>
        <v>1985.2999999999993</v>
      </c>
      <c r="O22" s="217">
        <f>F22-липень!F22</f>
        <v>694.1599999999999</v>
      </c>
      <c r="P22" s="218">
        <f t="shared" si="6"/>
        <v>-1291.1399999999994</v>
      </c>
      <c r="Q22" s="215">
        <f t="shared" si="9"/>
        <v>34.96499269631794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556.13</v>
      </c>
      <c r="G23" s="241">
        <f t="shared" si="0"/>
        <v>-318.27</v>
      </c>
      <c r="H23" s="242">
        <f t="shared" si="3"/>
        <v>63.60132662397072</v>
      </c>
      <c r="I23" s="243">
        <f t="shared" si="4"/>
        <v>-1443.87</v>
      </c>
      <c r="J23" s="243">
        <f t="shared" si="5"/>
        <v>27.8065</v>
      </c>
      <c r="K23" s="261">
        <v>526.9</v>
      </c>
      <c r="L23" s="261">
        <f t="shared" si="1"/>
        <v>29.230000000000018</v>
      </c>
      <c r="M23" s="263">
        <f t="shared" si="2"/>
        <v>1.055475422281268</v>
      </c>
      <c r="N23" s="239">
        <f>E23-липень!E23</f>
        <v>185.29999999999995</v>
      </c>
      <c r="O23" s="239">
        <f>F23-липень!F23</f>
        <v>18.299999999999955</v>
      </c>
      <c r="P23" s="240">
        <f t="shared" si="6"/>
        <v>-167</v>
      </c>
      <c r="Q23" s="240">
        <f t="shared" si="9"/>
        <v>9.87587695628708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13485.97</v>
      </c>
      <c r="G24" s="241">
        <f t="shared" si="0"/>
        <v>-216.53000000000065</v>
      </c>
      <c r="H24" s="242">
        <f t="shared" si="3"/>
        <v>98.41977741288086</v>
      </c>
      <c r="I24" s="243">
        <f t="shared" si="4"/>
        <v>-3014.0300000000007</v>
      </c>
      <c r="J24" s="243">
        <f t="shared" si="5"/>
        <v>81.73315151515152</v>
      </c>
      <c r="K24" s="261">
        <v>8146.84</v>
      </c>
      <c r="L24" s="261">
        <f t="shared" si="1"/>
        <v>5339.129999999999</v>
      </c>
      <c r="M24" s="263">
        <f t="shared" si="2"/>
        <v>1.6553620790392347</v>
      </c>
      <c r="N24" s="239">
        <f>E24-липень!E24</f>
        <v>1800</v>
      </c>
      <c r="O24" s="239">
        <f>F24-липень!F24</f>
        <v>153.65999999999985</v>
      </c>
      <c r="P24" s="240">
        <f t="shared" si="6"/>
        <v>-1646.3400000000001</v>
      </c>
      <c r="Q24" s="240">
        <f t="shared" si="9"/>
        <v>8.536666666666658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585.7</v>
      </c>
      <c r="G25" s="212">
        <f t="shared" si="0"/>
        <v>-307.43999999999994</v>
      </c>
      <c r="H25" s="214">
        <f t="shared" si="3"/>
        <v>65.57762500839735</v>
      </c>
      <c r="I25" s="215">
        <f t="shared" si="4"/>
        <v>-414.29999999999995</v>
      </c>
      <c r="J25" s="215">
        <f t="shared" si="5"/>
        <v>58.57</v>
      </c>
      <c r="K25" s="215">
        <v>3116.95</v>
      </c>
      <c r="L25" s="215">
        <f t="shared" si="1"/>
        <v>-2531.25</v>
      </c>
      <c r="M25" s="257">
        <f t="shared" si="2"/>
        <v>0.187908051139736</v>
      </c>
      <c r="N25" s="214">
        <f>E25-липень!E25</f>
        <v>200</v>
      </c>
      <c r="O25" s="217">
        <f>F25-липень!F25</f>
        <v>106.90000000000003</v>
      </c>
      <c r="P25" s="218">
        <f t="shared" si="6"/>
        <v>-93.09999999999997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103968.92</v>
      </c>
      <c r="F26" s="213">
        <v>96668.4</v>
      </c>
      <c r="G26" s="212">
        <f t="shared" si="0"/>
        <v>-7300.520000000004</v>
      </c>
      <c r="H26" s="214">
        <f t="shared" si="3"/>
        <v>92.9781707841151</v>
      </c>
      <c r="I26" s="215">
        <f t="shared" si="4"/>
        <v>-58731.25</v>
      </c>
      <c r="J26" s="215">
        <f t="shared" si="5"/>
        <v>62.20631771049677</v>
      </c>
      <c r="K26" s="216">
        <v>68008.19</v>
      </c>
      <c r="L26" s="216">
        <f t="shared" si="1"/>
        <v>28660.209999999992</v>
      </c>
      <c r="M26" s="256">
        <f t="shared" si="2"/>
        <v>1.421422919798336</v>
      </c>
      <c r="N26" s="214">
        <f>E26-липень!E26</f>
        <v>20765</v>
      </c>
      <c r="O26" s="217">
        <f>F26-липень!F26</f>
        <v>5060.610000000001</v>
      </c>
      <c r="P26" s="218">
        <f t="shared" si="6"/>
        <v>-15704.39</v>
      </c>
      <c r="Q26" s="215">
        <f>O26/N26*100</f>
        <v>24.370864435347944</v>
      </c>
      <c r="R26" s="113"/>
      <c r="S26" s="114"/>
      <c r="T26" s="186">
        <f t="shared" si="8"/>
        <v>51430.729999999996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32614.75</v>
      </c>
      <c r="F27" s="203">
        <v>29514.54</v>
      </c>
      <c r="G27" s="241">
        <f t="shared" si="0"/>
        <v>-3100.209999999999</v>
      </c>
      <c r="H27" s="242">
        <f t="shared" si="3"/>
        <v>90.49445419633754</v>
      </c>
      <c r="I27" s="243">
        <f t="shared" si="4"/>
        <v>-17852.46</v>
      </c>
      <c r="J27" s="243">
        <f t="shared" si="5"/>
        <v>62.31034264361265</v>
      </c>
      <c r="K27" s="261">
        <v>18442.07</v>
      </c>
      <c r="L27" s="261">
        <f t="shared" si="1"/>
        <v>11072.470000000001</v>
      </c>
      <c r="M27" s="263">
        <f t="shared" si="2"/>
        <v>1.600391929973154</v>
      </c>
      <c r="N27" s="239">
        <f>E27-липень!E27</f>
        <v>8770</v>
      </c>
      <c r="O27" s="239">
        <f>F27-липень!F27</f>
        <v>228.78000000000247</v>
      </c>
      <c r="P27" s="240">
        <f t="shared" si="6"/>
        <v>-8541.219999999998</v>
      </c>
      <c r="Q27" s="240">
        <f>O27/N27*100</f>
        <v>2.608665906499458</v>
      </c>
      <c r="R27" s="113"/>
      <c r="S27" s="114"/>
      <c r="T27" s="186">
        <f t="shared" si="8"/>
        <v>14752.25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71354.17</v>
      </c>
      <c r="F28" s="203">
        <v>62749.18</v>
      </c>
      <c r="G28" s="241">
        <f t="shared" si="0"/>
        <v>-8604.989999999998</v>
      </c>
      <c r="H28" s="242">
        <f t="shared" si="3"/>
        <v>87.94045253416864</v>
      </c>
      <c r="I28" s="243">
        <f t="shared" si="4"/>
        <v>-45283.469999999994</v>
      </c>
      <c r="J28" s="243">
        <f t="shared" si="5"/>
        <v>58.08353308004571</v>
      </c>
      <c r="K28" s="261">
        <v>49566.12</v>
      </c>
      <c r="L28" s="261">
        <f t="shared" si="1"/>
        <v>13183.059999999998</v>
      </c>
      <c r="M28" s="263">
        <f t="shared" si="2"/>
        <v>1.2659691741052153</v>
      </c>
      <c r="N28" s="239">
        <f>E28-липень!E28</f>
        <v>11995</v>
      </c>
      <c r="O28" s="239">
        <f>F28-липень!F28</f>
        <v>427.15000000000146</v>
      </c>
      <c r="P28" s="240">
        <f t="shared" si="6"/>
        <v>-11567.849999999999</v>
      </c>
      <c r="Q28" s="240">
        <f>O28/N28*100</f>
        <v>3.561067111296386</v>
      </c>
      <c r="R28" s="113"/>
      <c r="S28" s="114"/>
      <c r="T28" s="186">
        <f t="shared" si="8"/>
        <v>36678.479999999996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86</v>
      </c>
      <c r="G30" s="190">
        <f t="shared" si="0"/>
        <v>37.69</v>
      </c>
      <c r="H30" s="197">
        <f t="shared" si="3"/>
        <v>178.0169737114469</v>
      </c>
      <c r="I30" s="198">
        <f t="shared" si="4"/>
        <v>9</v>
      </c>
      <c r="J30" s="198">
        <f t="shared" si="5"/>
        <v>111.68831168831169</v>
      </c>
      <c r="K30" s="198">
        <v>48.85</v>
      </c>
      <c r="L30" s="198">
        <f t="shared" si="1"/>
        <v>37.15</v>
      </c>
      <c r="M30" s="255">
        <f>F30/K30</f>
        <v>1.7604912998976459</v>
      </c>
      <c r="N30" s="197">
        <f>E30-липень!E30</f>
        <v>7.400000000000006</v>
      </c>
      <c r="O30" s="200">
        <f>F30-липень!F30</f>
        <v>20.379999999999995</v>
      </c>
      <c r="P30" s="201">
        <f t="shared" si="6"/>
        <v>12.97999999999999</v>
      </c>
      <c r="Q30" s="198">
        <f>O30/N30*100</f>
        <v>275.40540540540513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</v>
      </c>
      <c r="G31" s="190">
        <f t="shared" si="0"/>
        <v>-150.2</v>
      </c>
      <c r="H31" s="197"/>
      <c r="I31" s="198">
        <f t="shared" si="4"/>
        <v>-150.2</v>
      </c>
      <c r="J31" s="198"/>
      <c r="K31" s="198">
        <v>-614.57</v>
      </c>
      <c r="L31" s="198">
        <f t="shared" si="1"/>
        <v>464.37000000000006</v>
      </c>
      <c r="M31" s="255">
        <f>F31/K31</f>
        <v>0.24439852254421787</v>
      </c>
      <c r="N31" s="197">
        <f>E31-липень!E31</f>
        <v>0</v>
      </c>
      <c r="O31" s="200">
        <f>F31-липень!F31</f>
        <v>-11.469999999999999</v>
      </c>
      <c r="P31" s="201">
        <f t="shared" si="6"/>
        <v>-11.469999999999999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98815.84</v>
      </c>
      <c r="F32" s="203">
        <v>106268</v>
      </c>
      <c r="G32" s="202">
        <f t="shared" si="0"/>
        <v>7452.1600000000035</v>
      </c>
      <c r="H32" s="204">
        <f t="shared" si="3"/>
        <v>107.54146298812013</v>
      </c>
      <c r="I32" s="205">
        <f t="shared" si="4"/>
        <v>-11732</v>
      </c>
      <c r="J32" s="205">
        <f t="shared" si="5"/>
        <v>90.05762711864406</v>
      </c>
      <c r="K32" s="219">
        <v>67835.01</v>
      </c>
      <c r="L32" s="219">
        <f t="shared" si="1"/>
        <v>38432.990000000005</v>
      </c>
      <c r="M32" s="258">
        <f>F32/L32</f>
        <v>2.7650203640153936</v>
      </c>
      <c r="N32" s="197">
        <f>E32-липень!E32</f>
        <v>18673.800000000003</v>
      </c>
      <c r="O32" s="200">
        <f>F32-липень!F32</f>
        <v>18460.929999999993</v>
      </c>
      <c r="P32" s="207">
        <f t="shared" si="6"/>
        <v>-212.8700000000099</v>
      </c>
      <c r="Q32" s="205">
        <f>O32/N32*100</f>
        <v>98.86006061969171</v>
      </c>
      <c r="R32" s="113"/>
      <c r="S32" s="114"/>
      <c r="T32" s="186">
        <f t="shared" si="8"/>
        <v>19184.160000000003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"/>
        <v>1.42</v>
      </c>
      <c r="M33" s="264">
        <f aca="true" t="shared" si="10" ref="M33:M39">F33/K33</f>
        <v>-0.18333333333333335</v>
      </c>
      <c r="N33" s="111">
        <f>E33-липень!E33</f>
        <v>0</v>
      </c>
      <c r="O33" s="179">
        <f>F33-липень!F33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24462.97</v>
      </c>
      <c r="F34" s="171">
        <v>23451.16</v>
      </c>
      <c r="G34" s="109">
        <f t="shared" si="0"/>
        <v>-1011.8100000000013</v>
      </c>
      <c r="H34" s="111">
        <f t="shared" si="3"/>
        <v>95.8639118635227</v>
      </c>
      <c r="I34" s="110">
        <f t="shared" si="4"/>
        <v>-4765.84</v>
      </c>
      <c r="J34" s="110">
        <f t="shared" si="5"/>
        <v>83.11004004678031</v>
      </c>
      <c r="K34" s="142">
        <v>16931.33</v>
      </c>
      <c r="L34" s="142">
        <f t="shared" si="1"/>
        <v>6519.829999999998</v>
      </c>
      <c r="M34" s="264">
        <f t="shared" si="10"/>
        <v>1.3850748877967647</v>
      </c>
      <c r="N34" s="111">
        <f>E34-липень!E34</f>
        <v>4767</v>
      </c>
      <c r="O34" s="179">
        <f>F34-липень!F34</f>
        <v>1696.6500000000015</v>
      </c>
      <c r="P34" s="112">
        <f t="shared" si="6"/>
        <v>-3070.3499999999985</v>
      </c>
      <c r="Q34" s="110">
        <f>O34/N34*100</f>
        <v>35.591567023285116</v>
      </c>
      <c r="R34" s="113"/>
      <c r="S34" s="114"/>
      <c r="T34" s="186">
        <f t="shared" si="8"/>
        <v>3754.029999999999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74336.08</v>
      </c>
      <c r="F35" s="171">
        <v>69104.59</v>
      </c>
      <c r="G35" s="109">
        <f t="shared" si="0"/>
        <v>-5231.490000000005</v>
      </c>
      <c r="H35" s="111">
        <f t="shared" si="3"/>
        <v>92.96238112098459</v>
      </c>
      <c r="I35" s="110">
        <f t="shared" si="4"/>
        <v>-20627.410000000003</v>
      </c>
      <c r="J35" s="110">
        <f t="shared" si="5"/>
        <v>77.01220300450228</v>
      </c>
      <c r="K35" s="142">
        <v>50888.07</v>
      </c>
      <c r="L35" s="142">
        <f t="shared" si="1"/>
        <v>18216.519999999997</v>
      </c>
      <c r="M35" s="264">
        <f t="shared" si="10"/>
        <v>1.3579723106024653</v>
      </c>
      <c r="N35" s="111">
        <f>E35-липень!E35</f>
        <v>13900</v>
      </c>
      <c r="O35" s="179">
        <f>F35-липень!F35</f>
        <v>3072.7699999999895</v>
      </c>
      <c r="P35" s="112">
        <f t="shared" si="6"/>
        <v>-10827.23000000001</v>
      </c>
      <c r="Q35" s="110">
        <f>O35/N35*100</f>
        <v>22.10625899280568</v>
      </c>
      <c r="R35" s="113"/>
      <c r="S35" s="114"/>
      <c r="T35" s="186">
        <f t="shared" si="8"/>
        <v>15395.919999999998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20.52</v>
      </c>
      <c r="G36" s="109">
        <f t="shared" si="0"/>
        <v>3.7300000000000004</v>
      </c>
      <c r="H36" s="111">
        <f t="shared" si="3"/>
        <v>122.21560452650388</v>
      </c>
      <c r="I36" s="110">
        <f t="shared" si="4"/>
        <v>-30.48</v>
      </c>
      <c r="J36" s="110">
        <f t="shared" si="5"/>
        <v>40.23529411764706</v>
      </c>
      <c r="K36" s="142">
        <v>16.81</v>
      </c>
      <c r="L36" s="142">
        <f t="shared" si="1"/>
        <v>3.710000000000001</v>
      </c>
      <c r="M36" s="264">
        <f t="shared" si="10"/>
        <v>1.2207019631171923</v>
      </c>
      <c r="N36" s="111">
        <f>E36-липень!E36</f>
        <v>6.799999999999999</v>
      </c>
      <c r="O36" s="179">
        <f>F36-липень!F36</f>
        <v>0</v>
      </c>
      <c r="P36" s="112">
        <f t="shared" si="6"/>
        <v>-6.799999999999999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38751.03</v>
      </c>
      <c r="F38" s="191">
        <f>F39+F40+F41+F42+F43+F45+F47+F48+F49+F50+F51+F56+F57+F61+F44</f>
        <v>42434.3</v>
      </c>
      <c r="G38" s="191">
        <f>G39+G40+G41+G42+G43+G45+G47+G48+G49+G50+G51+G56+G57+G61</f>
        <v>3656.0700000000006</v>
      </c>
      <c r="H38" s="192">
        <f>F38/E38*100</f>
        <v>109.50496025525001</v>
      </c>
      <c r="I38" s="193">
        <f>F38-D38</f>
        <v>-14401.18</v>
      </c>
      <c r="J38" s="193">
        <f>F38/D38*100</f>
        <v>74.66163741381264</v>
      </c>
      <c r="K38" s="191">
        <v>21607.34</v>
      </c>
      <c r="L38" s="191">
        <f t="shared" si="1"/>
        <v>20826.960000000003</v>
      </c>
      <c r="M38" s="250">
        <f t="shared" si="10"/>
        <v>1.9638835691945424</v>
      </c>
      <c r="N38" s="191">
        <f>N39+N40+N41+N42+N43+N45+N47+N48+N49+N50+N51+N56+N57+N61+N44</f>
        <v>13756</v>
      </c>
      <c r="O38" s="191">
        <f>O39+O40+O41+O42+O43+O45+O47+O48+O49+O50+O51+O56+O57+O61+O44</f>
        <v>5648.0199999999995</v>
      </c>
      <c r="P38" s="191">
        <f>P39+P40+P41+P42+P43+P45+P47+P48+P49+P50+P51+P56+P57+P61</f>
        <v>-8107.7</v>
      </c>
      <c r="Q38" s="191">
        <f>O38/N38*100</f>
        <v>41.05859261413201</v>
      </c>
      <c r="R38" s="15" t="e">
        <f>#N/A</f>
        <v>#N/A</v>
      </c>
      <c r="S38" s="15" t="e">
        <f>#N/A</f>
        <v>#N/A</v>
      </c>
      <c r="T38" s="186">
        <f t="shared" si="8"/>
        <v>18084.450000000004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376.4</v>
      </c>
      <c r="G39" s="202">
        <f>F39-E39</f>
        <v>-3.6000000000000227</v>
      </c>
      <c r="H39" s="204">
        <f aca="true" t="shared" si="11" ref="H39:H62">F39/E39*100</f>
        <v>99.05263157894736</v>
      </c>
      <c r="I39" s="205">
        <f>F39-D39</f>
        <v>-23.600000000000023</v>
      </c>
      <c r="J39" s="205">
        <f>F39/D39*100</f>
        <v>94.1</v>
      </c>
      <c r="K39" s="205">
        <v>-60.36</v>
      </c>
      <c r="L39" s="205">
        <f t="shared" si="1"/>
        <v>436.76</v>
      </c>
      <c r="M39" s="266">
        <f t="shared" si="10"/>
        <v>-6.235917826375083</v>
      </c>
      <c r="N39" s="204">
        <f>E39-липень!E39</f>
        <v>310</v>
      </c>
      <c r="O39" s="208">
        <f>F39-липень!F39</f>
        <v>135.01</v>
      </c>
      <c r="P39" s="207">
        <f>O39-N39</f>
        <v>-174.99</v>
      </c>
      <c r="Q39" s="205">
        <f aca="true" t="shared" si="12" ref="Q39:Q62">O39/N39*100</f>
        <v>43.55161290322581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17767</v>
      </c>
      <c r="F40" s="196">
        <v>20560.18</v>
      </c>
      <c r="G40" s="202">
        <f aca="true" t="shared" si="13" ref="G40:G63">F40-E40</f>
        <v>2793.1800000000003</v>
      </c>
      <c r="H40" s="204">
        <f t="shared" si="11"/>
        <v>115.7211684583779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10230</v>
      </c>
      <c r="O40" s="208">
        <f>F40-липень!F40</f>
        <v>3289.16</v>
      </c>
      <c r="P40" s="207">
        <f aca="true" t="shared" si="15" ref="P40:P63">O40-N40</f>
        <v>-6940.84</v>
      </c>
      <c r="Q40" s="205">
        <f t="shared" si="12"/>
        <v>32.15210166177908</v>
      </c>
      <c r="R40" s="42"/>
      <c r="S40" s="100"/>
      <c r="T40" s="186">
        <f t="shared" si="8"/>
        <v>7233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191.5</v>
      </c>
      <c r="G43" s="202">
        <f t="shared" si="13"/>
        <v>111.5</v>
      </c>
      <c r="H43" s="204">
        <f t="shared" si="11"/>
        <v>239.37499999999997</v>
      </c>
      <c r="I43" s="205">
        <f t="shared" si="14"/>
        <v>41.5</v>
      </c>
      <c r="J43" s="205">
        <f t="shared" si="16"/>
        <v>127.66666666666666</v>
      </c>
      <c r="K43" s="205">
        <v>104.06</v>
      </c>
      <c r="L43" s="205">
        <f t="shared" si="1"/>
        <v>87.44</v>
      </c>
      <c r="M43" s="266">
        <f t="shared" si="17"/>
        <v>1.8402844512781087</v>
      </c>
      <c r="N43" s="204">
        <f>E43-липень!E43</f>
        <v>10</v>
      </c>
      <c r="O43" s="208">
        <f>F43-липень!F43</f>
        <v>3.539999999999992</v>
      </c>
      <c r="P43" s="207">
        <f t="shared" si="15"/>
        <v>-6.460000000000008</v>
      </c>
      <c r="Q43" s="205">
        <f t="shared" si="12"/>
        <v>35.39999999999992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41.2</v>
      </c>
      <c r="G44" s="202">
        <f t="shared" si="13"/>
        <v>27.200000000000003</v>
      </c>
      <c r="H44" s="204"/>
      <c r="I44" s="205">
        <f t="shared" si="14"/>
        <v>27.200000000000003</v>
      </c>
      <c r="J44" s="205"/>
      <c r="K44" s="205">
        <v>3.5</v>
      </c>
      <c r="L44" s="205">
        <f t="shared" si="1"/>
        <v>37.7</v>
      </c>
      <c r="M44" s="266">
        <f t="shared" si="17"/>
        <v>11.771428571428572</v>
      </c>
      <c r="N44" s="204">
        <f>E44-липень!E44</f>
        <v>14</v>
      </c>
      <c r="O44" s="208">
        <f>F44-липень!F44</f>
        <v>13.720000000000002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303.5</v>
      </c>
      <c r="G45" s="202">
        <f t="shared" si="13"/>
        <v>47.5</v>
      </c>
      <c r="H45" s="204">
        <f t="shared" si="11"/>
        <v>118.5546875</v>
      </c>
      <c r="I45" s="205">
        <f t="shared" si="14"/>
        <v>3.5</v>
      </c>
      <c r="J45" s="205">
        <f t="shared" si="16"/>
        <v>101.16666666666667</v>
      </c>
      <c r="K45" s="205">
        <v>0</v>
      </c>
      <c r="L45" s="205">
        <f t="shared" si="1"/>
        <v>303.5</v>
      </c>
      <c r="M45" s="266"/>
      <c r="N45" s="204">
        <f>E45-липень!E45</f>
        <v>208</v>
      </c>
      <c r="O45" s="208">
        <f>F45-липень!F45</f>
        <v>55.129999999999995</v>
      </c>
      <c r="P45" s="207">
        <f t="shared" si="15"/>
        <v>-152.87</v>
      </c>
      <c r="Q45" s="205">
        <f t="shared" si="12"/>
        <v>26.50480769230769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6139.02</v>
      </c>
      <c r="F47" s="196">
        <v>6806</v>
      </c>
      <c r="G47" s="202">
        <f t="shared" si="13"/>
        <v>666.9799999999996</v>
      </c>
      <c r="H47" s="204">
        <f t="shared" si="11"/>
        <v>110.86460053884821</v>
      </c>
      <c r="I47" s="205">
        <f t="shared" si="14"/>
        <v>-3094</v>
      </c>
      <c r="J47" s="205">
        <f t="shared" si="16"/>
        <v>68.74747474747474</v>
      </c>
      <c r="K47" s="205">
        <v>6772.05</v>
      </c>
      <c r="L47" s="205">
        <f t="shared" si="1"/>
        <v>33.94999999999982</v>
      </c>
      <c r="M47" s="266">
        <f t="shared" si="17"/>
        <v>1.0050132530031526</v>
      </c>
      <c r="N47" s="204">
        <f>E47-липень!E47</f>
        <v>800</v>
      </c>
      <c r="O47" s="208">
        <f>F47-липень!F47</f>
        <v>715.3699999999999</v>
      </c>
      <c r="P47" s="207">
        <f t="shared" si="15"/>
        <v>-84.63000000000011</v>
      </c>
      <c r="Q47" s="205">
        <f t="shared" si="12"/>
        <v>89.42124999999999</v>
      </c>
      <c r="R47" s="42"/>
      <c r="S47" s="100"/>
      <c r="T47" s="186">
        <f t="shared" si="8"/>
        <v>3760.9799999999996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151</v>
      </c>
      <c r="G48" s="202">
        <f t="shared" si="13"/>
        <v>-499</v>
      </c>
      <c r="H48" s="204">
        <f t="shared" si="11"/>
        <v>23.23076923076923</v>
      </c>
      <c r="I48" s="205">
        <f t="shared" si="14"/>
        <v>-499</v>
      </c>
      <c r="J48" s="205">
        <f t="shared" si="16"/>
        <v>23.23076923076923</v>
      </c>
      <c r="K48" s="205">
        <v>0</v>
      </c>
      <c r="L48" s="205">
        <f t="shared" si="1"/>
        <v>151</v>
      </c>
      <c r="M48" s="266"/>
      <c r="N48" s="204">
        <f>E48-липень!E48</f>
        <v>0</v>
      </c>
      <c r="O48" s="208">
        <f>F48-липень!F48</f>
        <v>33.61</v>
      </c>
      <c r="P48" s="207">
        <f t="shared" si="15"/>
        <v>33.61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</v>
      </c>
      <c r="G49" s="202">
        <f t="shared" si="13"/>
        <v>-12.6</v>
      </c>
      <c r="H49" s="204">
        <f t="shared" si="11"/>
        <v>55.00000000000001</v>
      </c>
      <c r="I49" s="205">
        <f t="shared" si="14"/>
        <v>-34.6</v>
      </c>
      <c r="J49" s="205">
        <f t="shared" si="16"/>
        <v>30.8</v>
      </c>
      <c r="K49" s="205">
        <v>0</v>
      </c>
      <c r="L49" s="205">
        <f t="shared" si="1"/>
        <v>15.4</v>
      </c>
      <c r="M49" s="266"/>
      <c r="N49" s="204">
        <f>E49-липень!E49</f>
        <v>4</v>
      </c>
      <c r="O49" s="208">
        <f>F49-липень!F49</f>
        <v>6.860000000000001</v>
      </c>
      <c r="P49" s="207">
        <f t="shared" si="15"/>
        <v>2.860000000000001</v>
      </c>
      <c r="Q49" s="205">
        <f t="shared" si="12"/>
        <v>171.50000000000003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4170.5</v>
      </c>
      <c r="G51" s="202">
        <f t="shared" si="13"/>
        <v>-220.6899999999996</v>
      </c>
      <c r="H51" s="204">
        <f t="shared" si="11"/>
        <v>94.9742552702115</v>
      </c>
      <c r="I51" s="205">
        <f t="shared" si="14"/>
        <v>-2829.54</v>
      </c>
      <c r="J51" s="205">
        <f t="shared" si="16"/>
        <v>59.57823098153725</v>
      </c>
      <c r="K51" s="205">
        <v>5221.43</v>
      </c>
      <c r="L51" s="205">
        <f t="shared" si="1"/>
        <v>-1050.9300000000003</v>
      </c>
      <c r="M51" s="266">
        <f t="shared" si="17"/>
        <v>0.7987275516477287</v>
      </c>
      <c r="N51" s="204">
        <f>E51-липень!E51</f>
        <v>519.9999999999995</v>
      </c>
      <c r="O51" s="208">
        <f>F51-липень!F51</f>
        <v>445.71000000000004</v>
      </c>
      <c r="P51" s="207">
        <f t="shared" si="15"/>
        <v>-74.28999999999951</v>
      </c>
      <c r="Q51" s="205">
        <f t="shared" si="12"/>
        <v>85.71346153846162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520.54</v>
      </c>
      <c r="G52" s="36">
        <f t="shared" si="13"/>
        <v>-143.45000000000005</v>
      </c>
      <c r="H52" s="32">
        <f t="shared" si="11"/>
        <v>78.39575897227368</v>
      </c>
      <c r="I52" s="110">
        <f t="shared" si="14"/>
        <v>-449.46000000000004</v>
      </c>
      <c r="J52" s="110">
        <f t="shared" si="16"/>
        <v>53.6639175257732</v>
      </c>
      <c r="K52" s="110">
        <v>735.13</v>
      </c>
      <c r="L52" s="110">
        <f>F52-K52</f>
        <v>-214.59000000000003</v>
      </c>
      <c r="M52" s="115">
        <f t="shared" si="17"/>
        <v>0.7080924462339994</v>
      </c>
      <c r="N52" s="111">
        <f>E52-липень!E52</f>
        <v>20</v>
      </c>
      <c r="O52" s="179">
        <f>F52-липень!F52</f>
        <v>16.399999999999977</v>
      </c>
      <c r="P52" s="112">
        <f t="shared" si="15"/>
        <v>-3.6000000000000227</v>
      </c>
      <c r="Q52" s="132">
        <f t="shared" si="12"/>
        <v>81.99999999999989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3345.48</v>
      </c>
      <c r="G55" s="36">
        <f t="shared" si="13"/>
        <v>-376.69000000000005</v>
      </c>
      <c r="H55" s="32">
        <f t="shared" si="11"/>
        <v>89.87982816475335</v>
      </c>
      <c r="I55" s="110">
        <f t="shared" si="14"/>
        <v>-2678.52</v>
      </c>
      <c r="J55" s="110">
        <f t="shared" si="16"/>
        <v>55.535856573705175</v>
      </c>
      <c r="K55" s="110">
        <v>4440.11</v>
      </c>
      <c r="L55" s="110">
        <f>F55-K55</f>
        <v>-1094.6299999999997</v>
      </c>
      <c r="M55" s="115">
        <f t="shared" si="17"/>
        <v>0.7534678194909586</v>
      </c>
      <c r="N55" s="111">
        <f>E55-липень!E55</f>
        <v>500</v>
      </c>
      <c r="O55" s="179">
        <f>F55-липень!F55</f>
        <v>125.09999999999991</v>
      </c>
      <c r="P55" s="112">
        <f t="shared" si="15"/>
        <v>-374.9000000000001</v>
      </c>
      <c r="Q55" s="132">
        <f t="shared" si="12"/>
        <v>25.019999999999982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3567.98</v>
      </c>
      <c r="F57" s="196">
        <v>4567.5</v>
      </c>
      <c r="G57" s="202">
        <f t="shared" si="13"/>
        <v>999.52</v>
      </c>
      <c r="H57" s="204">
        <f t="shared" si="11"/>
        <v>128.01360994175977</v>
      </c>
      <c r="I57" s="205">
        <f t="shared" si="14"/>
        <v>-582.5</v>
      </c>
      <c r="J57" s="205">
        <f t="shared" si="16"/>
        <v>88.68932038834951</v>
      </c>
      <c r="K57" s="205">
        <v>3192.65</v>
      </c>
      <c r="L57" s="205">
        <f aca="true" t="shared" si="18" ref="L57:L63">F57-K57</f>
        <v>1374.85</v>
      </c>
      <c r="M57" s="266">
        <f t="shared" si="17"/>
        <v>1.4306297276557092</v>
      </c>
      <c r="N57" s="204">
        <f>E57-липень!E57</f>
        <v>930</v>
      </c>
      <c r="O57" s="208">
        <f>F57-липень!F57</f>
        <v>305.60000000000036</v>
      </c>
      <c r="P57" s="207">
        <f t="shared" si="15"/>
        <v>-624.3999999999996</v>
      </c>
      <c r="Q57" s="205">
        <f t="shared" si="12"/>
        <v>32.86021505376348</v>
      </c>
      <c r="R57" s="42"/>
      <c r="S57" s="100"/>
      <c r="T57" s="186">
        <f t="shared" si="8"/>
        <v>1582.02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855.6</v>
      </c>
      <c r="G59" s="202"/>
      <c r="H59" s="204"/>
      <c r="I59" s="205"/>
      <c r="J59" s="205"/>
      <c r="K59" s="206">
        <v>890.52</v>
      </c>
      <c r="L59" s="205">
        <f t="shared" si="18"/>
        <v>-34.91999999999996</v>
      </c>
      <c r="M59" s="266">
        <f t="shared" si="17"/>
        <v>0.9607869559358577</v>
      </c>
      <c r="N59" s="236"/>
      <c r="O59" s="220">
        <f>F59-липень!F59</f>
        <v>121.76999999999998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152.3</v>
      </c>
      <c r="G61" s="202">
        <f t="shared" si="13"/>
        <v>52.30000000000001</v>
      </c>
      <c r="H61" s="204">
        <f t="shared" si="11"/>
        <v>152.3</v>
      </c>
      <c r="I61" s="205">
        <f t="shared" si="14"/>
        <v>52.30000000000001</v>
      </c>
      <c r="J61" s="205">
        <f t="shared" si="16"/>
        <v>152.3</v>
      </c>
      <c r="K61" s="205">
        <v>0.6</v>
      </c>
      <c r="L61" s="205">
        <f t="shared" si="18"/>
        <v>151.70000000000002</v>
      </c>
      <c r="M61" s="266">
        <f t="shared" si="17"/>
        <v>253.83333333333337</v>
      </c>
      <c r="N61" s="204">
        <f>E61-липень!E61</f>
        <v>80</v>
      </c>
      <c r="O61" s="208">
        <f>F61-липень!F61</f>
        <v>74.12</v>
      </c>
      <c r="P61" s="207">
        <f t="shared" si="15"/>
        <v>-5.8799999999999955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655296.01</v>
      </c>
      <c r="F64" s="191">
        <f>F8+F38+F62+F63</f>
        <v>644508.8700000001</v>
      </c>
      <c r="G64" s="191">
        <f>F64-E64</f>
        <v>-10787.139999999898</v>
      </c>
      <c r="H64" s="192">
        <f>F64/E64*100</f>
        <v>98.35385233003328</v>
      </c>
      <c r="I64" s="193">
        <f>F64-D64</f>
        <v>-346428.86</v>
      </c>
      <c r="J64" s="193">
        <f>F64/D64*100</f>
        <v>65.04029975728143</v>
      </c>
      <c r="K64" s="193">
        <v>451134.19</v>
      </c>
      <c r="L64" s="193">
        <f>F64-K64</f>
        <v>193374.6800000001</v>
      </c>
      <c r="M64" s="267">
        <f>F64/K64</f>
        <v>1.4286411544201518</v>
      </c>
      <c r="N64" s="191">
        <f>N8+N38+N62+N63</f>
        <v>131335.19999999995</v>
      </c>
      <c r="O64" s="191">
        <f>O8+O38+O62+O63</f>
        <v>63901.08999999997</v>
      </c>
      <c r="P64" s="195">
        <f>O64-N64</f>
        <v>-67434.10999999999</v>
      </c>
      <c r="Q64" s="193">
        <f>O64/N64*100</f>
        <v>48.65496074167473</v>
      </c>
      <c r="R64" s="28">
        <f>O64-34768</f>
        <v>29133.089999999967</v>
      </c>
      <c r="S64" s="128">
        <f>O64/34768</f>
        <v>1.8379282673722954</v>
      </c>
      <c r="T64" s="186">
        <f t="shared" si="8"/>
        <v>335641.7200000001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F70-липень!F70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1535.08</v>
      </c>
      <c r="G73" s="202">
        <f aca="true" t="shared" si="19" ref="G73:G83">F73-E73</f>
        <v>-664.9200000000001</v>
      </c>
      <c r="H73" s="204"/>
      <c r="I73" s="207">
        <f aca="true" t="shared" si="20" ref="I73:I83">F73-D73</f>
        <v>-2664.92</v>
      </c>
      <c r="J73" s="207">
        <f>F73/D73*100</f>
        <v>36.54952380952381</v>
      </c>
      <c r="K73" s="207">
        <v>593.02</v>
      </c>
      <c r="L73" s="207">
        <f aca="true" t="shared" si="21" ref="L73:L83">F73-K73</f>
        <v>942.06</v>
      </c>
      <c r="M73" s="254">
        <f>F73/K73</f>
        <v>2.5885804863242385</v>
      </c>
      <c r="N73" s="204">
        <f>E73-липень!E73</f>
        <v>400</v>
      </c>
      <c r="O73" s="208">
        <f>F73-липень!F73</f>
        <v>0.01999999999998181</v>
      </c>
      <c r="P73" s="207">
        <f aca="true" t="shared" si="22" ref="P73:P86">O73-N73</f>
        <v>-399.98</v>
      </c>
      <c r="Q73" s="207">
        <f>O73/N73*100</f>
        <v>0.0049999999999954525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6751.5</v>
      </c>
      <c r="G74" s="202">
        <f t="shared" si="19"/>
        <v>2874.29</v>
      </c>
      <c r="H74" s="204">
        <f>F74/E74*100</f>
        <v>174.13294611331344</v>
      </c>
      <c r="I74" s="207">
        <f t="shared" si="20"/>
        <v>-707.5</v>
      </c>
      <c r="J74" s="207">
        <f>F74/D74*100</f>
        <v>90.51481431827322</v>
      </c>
      <c r="K74" s="207">
        <v>3758.64</v>
      </c>
      <c r="L74" s="207">
        <f t="shared" si="21"/>
        <v>2992.86</v>
      </c>
      <c r="M74" s="254">
        <f>F74/K74</f>
        <v>1.7962614137028288</v>
      </c>
      <c r="N74" s="204">
        <f>E74-липень!E74</f>
        <v>549.9000000000001</v>
      </c>
      <c r="O74" s="208">
        <f>F74-липень!F74</f>
        <v>0</v>
      </c>
      <c r="P74" s="207">
        <f t="shared" si="22"/>
        <v>-549.9000000000001</v>
      </c>
      <c r="Q74" s="207">
        <f>O74/N74*100</f>
        <v>0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10412.7</v>
      </c>
      <c r="G75" s="202">
        <f t="shared" si="19"/>
        <v>8015.85</v>
      </c>
      <c r="H75" s="204">
        <f>F75/E75*100</f>
        <v>434.4326929094437</v>
      </c>
      <c r="I75" s="207">
        <f t="shared" si="20"/>
        <v>4412.700000000001</v>
      </c>
      <c r="J75" s="207">
        <f>F75/D75*100</f>
        <v>173.54500000000002</v>
      </c>
      <c r="K75" s="207">
        <v>1838.64</v>
      </c>
      <c r="L75" s="207">
        <f t="shared" si="21"/>
        <v>8574.060000000001</v>
      </c>
      <c r="M75" s="254">
        <f>F75/K75</f>
        <v>5.6632619762433105</v>
      </c>
      <c r="N75" s="204">
        <f>E75-липень!E75</f>
        <v>302</v>
      </c>
      <c r="O75" s="208">
        <f>F75-липень!F75</f>
        <v>903.0100000000002</v>
      </c>
      <c r="P75" s="207">
        <f t="shared" si="22"/>
        <v>601.0100000000002</v>
      </c>
      <c r="Q75" s="207">
        <f>O75/N75*100</f>
        <v>299.0099337748345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18705.28</v>
      </c>
      <c r="G77" s="226">
        <f t="shared" si="19"/>
        <v>10223.22</v>
      </c>
      <c r="H77" s="227">
        <f>F77/E77*100</f>
        <v>220.52756052185435</v>
      </c>
      <c r="I77" s="228">
        <f t="shared" si="20"/>
        <v>1034.2799999999988</v>
      </c>
      <c r="J77" s="228">
        <f>F77/D77*100</f>
        <v>105.85297945786883</v>
      </c>
      <c r="K77" s="228">
        <v>5991.37</v>
      </c>
      <c r="L77" s="228">
        <f t="shared" si="21"/>
        <v>12713.91</v>
      </c>
      <c r="M77" s="260">
        <f>F77/K77</f>
        <v>3.1220371968347806</v>
      </c>
      <c r="N77" s="226">
        <f>N73+N74+N75+N76</f>
        <v>1252.9</v>
      </c>
      <c r="O77" s="230">
        <f>O73+O74+O75+O76</f>
        <v>903.0300000000002</v>
      </c>
      <c r="P77" s="228">
        <f t="shared" si="22"/>
        <v>-349.8699999999999</v>
      </c>
      <c r="Q77" s="228">
        <f>O77/N77*100</f>
        <v>72.07518556947882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6823.7</v>
      </c>
      <c r="G80" s="202">
        <f t="shared" si="19"/>
        <v>-799.9000000000005</v>
      </c>
      <c r="H80" s="204">
        <f>F80/E80*100</f>
        <v>89.50758171992234</v>
      </c>
      <c r="I80" s="207">
        <f t="shared" si="20"/>
        <v>-2676.3</v>
      </c>
      <c r="J80" s="207">
        <f>F80/D80*100</f>
        <v>71.82842105263157</v>
      </c>
      <c r="K80" s="207">
        <v>0</v>
      </c>
      <c r="L80" s="207">
        <f t="shared" si="21"/>
        <v>6823.7</v>
      </c>
      <c r="M80" s="254"/>
      <c r="N80" s="204">
        <f>E80-липень!E80</f>
        <v>2496.3</v>
      </c>
      <c r="O80" s="208">
        <f>F80-липень!F80</f>
        <v>1921.3599999999997</v>
      </c>
      <c r="P80" s="207">
        <f>O80-N80</f>
        <v>-574.9400000000005</v>
      </c>
      <c r="Q80" s="231">
        <f>O80/N80*100</f>
        <v>76.968313103393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6830.29</v>
      </c>
      <c r="G82" s="224">
        <f>G78+G81+G79+G80</f>
        <v>-793.3100000000005</v>
      </c>
      <c r="H82" s="227">
        <f>F82/E82*100</f>
        <v>89.59402382076709</v>
      </c>
      <c r="I82" s="228">
        <f t="shared" si="20"/>
        <v>-2670.71</v>
      </c>
      <c r="J82" s="228">
        <f>F82/D82*100</f>
        <v>71.89022208188611</v>
      </c>
      <c r="K82" s="228">
        <v>0.83</v>
      </c>
      <c r="L82" s="228">
        <f t="shared" si="21"/>
        <v>6829.46</v>
      </c>
      <c r="M82" s="268">
        <f>F82/K82</f>
        <v>8229.265060240965</v>
      </c>
      <c r="N82" s="226">
        <f>N78+N81+N79+N80</f>
        <v>2496.3</v>
      </c>
      <c r="O82" s="230">
        <f>O78+O81+O79+O80</f>
        <v>1921.8199999999997</v>
      </c>
      <c r="P82" s="226">
        <f>P78+P81+P79+P80</f>
        <v>-574.4800000000005</v>
      </c>
      <c r="Q82" s="228">
        <f>O82/N82*100</f>
        <v>76.9867403757561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18.76</v>
      </c>
      <c r="G83" s="202">
        <f t="shared" si="19"/>
        <v>-2.039999999999999</v>
      </c>
      <c r="H83" s="204">
        <f>F83/E83*100</f>
        <v>90.1923076923077</v>
      </c>
      <c r="I83" s="207">
        <f t="shared" si="20"/>
        <v>-24.24</v>
      </c>
      <c r="J83" s="207">
        <f>F83/D83*100</f>
        <v>43.62790697674419</v>
      </c>
      <c r="K83" s="207">
        <v>21.06</v>
      </c>
      <c r="L83" s="207">
        <f t="shared" si="21"/>
        <v>-2.299999999999997</v>
      </c>
      <c r="M83" s="254">
        <f>F83/K83</f>
        <v>0.8907882241215576</v>
      </c>
      <c r="N83" s="204">
        <f>E83-липень!E83</f>
        <v>0.5</v>
      </c>
      <c r="O83" s="208">
        <f>F83-липень!F83</f>
        <v>0</v>
      </c>
      <c r="P83" s="207">
        <f t="shared" si="22"/>
        <v>-0.5</v>
      </c>
      <c r="Q83" s="207">
        <f>O83/N83</f>
        <v>0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25552.04</v>
      </c>
      <c r="G85" s="233">
        <f>F85-E85</f>
        <v>9425.580000000002</v>
      </c>
      <c r="H85" s="234">
        <f>F85/E85*100</f>
        <v>158.44791727384683</v>
      </c>
      <c r="I85" s="235">
        <f>F85-D85</f>
        <v>-1662.9599999999991</v>
      </c>
      <c r="J85" s="235">
        <f>F85/D85*100</f>
        <v>93.88954620613632</v>
      </c>
      <c r="K85" s="235">
        <v>6163.42</v>
      </c>
      <c r="L85" s="235">
        <f>F85-K85</f>
        <v>19388.620000000003</v>
      </c>
      <c r="M85" s="269">
        <f>F85/K85</f>
        <v>4.145756738953374</v>
      </c>
      <c r="N85" s="232">
        <f>N71+N83+N77+N82</f>
        <v>3749.7000000000003</v>
      </c>
      <c r="O85" s="232">
        <f>O71+O83+O77+O82+O84</f>
        <v>2824.85</v>
      </c>
      <c r="P85" s="235">
        <f t="shared" si="22"/>
        <v>-924.8500000000004</v>
      </c>
      <c r="Q85" s="235">
        <f>O85/N85*100</f>
        <v>75.33536016214629</v>
      </c>
      <c r="R85" s="28">
        <f>O85-8104.96</f>
        <v>-5280.110000000001</v>
      </c>
      <c r="S85" s="101">
        <f>O85/8104.96</f>
        <v>0.34853349060328487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671422.47</v>
      </c>
      <c r="F86" s="232">
        <f>F64+F85</f>
        <v>670060.9100000001</v>
      </c>
      <c r="G86" s="233">
        <f>F86-E86</f>
        <v>-1361.559999999823</v>
      </c>
      <c r="H86" s="234">
        <f>F86/E86*100</f>
        <v>99.7972126253088</v>
      </c>
      <c r="I86" s="235">
        <f>F86-D86</f>
        <v>-348091.81999999995</v>
      </c>
      <c r="J86" s="235">
        <f>F86/D86*100</f>
        <v>65.81143381111399</v>
      </c>
      <c r="K86" s="235">
        <f>K64+K85</f>
        <v>457297.61</v>
      </c>
      <c r="L86" s="235">
        <f>F86-K86</f>
        <v>212763.30000000016</v>
      </c>
      <c r="M86" s="269">
        <f>F86/K86</f>
        <v>1.4652622173118293</v>
      </c>
      <c r="N86" s="233">
        <f>N64+N85</f>
        <v>135084.89999999997</v>
      </c>
      <c r="O86" s="233">
        <f>O64+O85</f>
        <v>66725.93999999997</v>
      </c>
      <c r="P86" s="235">
        <f t="shared" si="22"/>
        <v>-68358.95999999999</v>
      </c>
      <c r="Q86" s="235">
        <f>O86/N86*100</f>
        <v>49.39555790469549</v>
      </c>
      <c r="R86" s="28">
        <f>O86-42872.96</f>
        <v>23852.979999999974</v>
      </c>
      <c r="S86" s="101">
        <f>O86/42872.96</f>
        <v>1.5563641978533784</v>
      </c>
      <c r="T86" s="186">
        <f t="shared" si="23"/>
        <v>346730.2600000001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6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11239.018333333332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42604</v>
      </c>
      <c r="D90" s="31">
        <v>4501.3</v>
      </c>
      <c r="G90" s="4" t="s">
        <v>59</v>
      </c>
      <c r="O90" s="419"/>
      <c r="P90" s="419"/>
      <c r="T90" s="186">
        <f t="shared" si="23"/>
        <v>4501.3</v>
      </c>
    </row>
    <row r="91" spans="3:16" ht="15">
      <c r="C91" s="87">
        <v>42601</v>
      </c>
      <c r="D91" s="31">
        <v>5928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42600</v>
      </c>
      <c r="D92" s="31">
        <v>5167.1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f>'[1]залишки  (2)'!$G$6/1000</f>
        <v>3546.8792200000003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469.9</v>
      </c>
      <c r="G97" s="73">
        <f>G45+G48+G49</f>
        <v>-464.1</v>
      </c>
      <c r="H97" s="74"/>
      <c r="I97" s="74"/>
      <c r="N97" s="31">
        <f>N45+N48+N49</f>
        <v>212</v>
      </c>
      <c r="O97" s="246">
        <f>O45+O48+O49</f>
        <v>95.6</v>
      </c>
      <c r="P97" s="31">
        <f>P45+P48+P49</f>
        <v>-116.4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" sqref="F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4" t="s">
        <v>188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92"/>
      <c r="S1" s="93"/>
    </row>
    <row r="2" spans="2:19" s="1" customFormat="1" ht="15.75" customHeight="1">
      <c r="B2" s="435"/>
      <c r="C2" s="435"/>
      <c r="D2" s="435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89"/>
      <c r="N3" s="444" t="s">
        <v>183</v>
      </c>
      <c r="O3" s="445" t="s">
        <v>184</v>
      </c>
      <c r="P3" s="445"/>
      <c r="Q3" s="445"/>
      <c r="R3" s="445"/>
      <c r="S3" s="445"/>
    </row>
    <row r="4" spans="1:19" ht="22.5" customHeight="1">
      <c r="A4" s="436"/>
      <c r="B4" s="438"/>
      <c r="C4" s="439"/>
      <c r="D4" s="440"/>
      <c r="E4" s="446" t="s">
        <v>179</v>
      </c>
      <c r="F4" s="428" t="s">
        <v>34</v>
      </c>
      <c r="G4" s="421" t="s">
        <v>180</v>
      </c>
      <c r="H4" s="430" t="s">
        <v>181</v>
      </c>
      <c r="I4" s="421" t="s">
        <v>122</v>
      </c>
      <c r="J4" s="430" t="s">
        <v>123</v>
      </c>
      <c r="K4" s="91" t="s">
        <v>186</v>
      </c>
      <c r="L4" s="249" t="s">
        <v>185</v>
      </c>
      <c r="M4" s="96" t="s">
        <v>64</v>
      </c>
      <c r="N4" s="430"/>
      <c r="O4" s="432" t="s">
        <v>189</v>
      </c>
      <c r="P4" s="421" t="s">
        <v>50</v>
      </c>
      <c r="Q4" s="423" t="s">
        <v>49</v>
      </c>
      <c r="R4" s="97" t="s">
        <v>65</v>
      </c>
      <c r="S4" s="98" t="s">
        <v>64</v>
      </c>
    </row>
    <row r="5" spans="1:19" ht="67.5" customHeight="1">
      <c r="A5" s="437"/>
      <c r="B5" s="438"/>
      <c r="C5" s="439"/>
      <c r="D5" s="440"/>
      <c r="E5" s="447"/>
      <c r="F5" s="429"/>
      <c r="G5" s="422"/>
      <c r="H5" s="431"/>
      <c r="I5" s="422"/>
      <c r="J5" s="431"/>
      <c r="K5" s="424" t="s">
        <v>182</v>
      </c>
      <c r="L5" s="425"/>
      <c r="M5" s="426"/>
      <c r="N5" s="431"/>
      <c r="O5" s="433"/>
      <c r="P5" s="422"/>
      <c r="Q5" s="423"/>
      <c r="R5" s="424" t="s">
        <v>120</v>
      </c>
      <c r="S5" s="42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27"/>
      <c r="H89" s="427"/>
      <c r="I89" s="427"/>
      <c r="J89" s="42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19"/>
      <c r="P90" s="419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3"/>
      <c r="H91" s="413"/>
      <c r="I91" s="131"/>
      <c r="J91" s="416"/>
      <c r="K91" s="416"/>
      <c r="L91" s="416"/>
      <c r="M91" s="416"/>
      <c r="N91" s="416"/>
      <c r="O91" s="419"/>
      <c r="P91" s="419"/>
    </row>
    <row r="92" spans="3:16" ht="15.75" customHeight="1">
      <c r="C92" s="87">
        <v>42578</v>
      </c>
      <c r="D92" s="31">
        <v>8357.1</v>
      </c>
      <c r="F92" s="73"/>
      <c r="G92" s="413"/>
      <c r="H92" s="413"/>
      <c r="I92" s="131"/>
      <c r="J92" s="420"/>
      <c r="K92" s="420"/>
      <c r="L92" s="420"/>
      <c r="M92" s="420"/>
      <c r="N92" s="420"/>
      <c r="O92" s="419"/>
      <c r="P92" s="419"/>
    </row>
    <row r="93" spans="3:14" ht="15.75" customHeight="1">
      <c r="C93" s="87"/>
      <c r="F93" s="73"/>
      <c r="G93" s="415"/>
      <c r="H93" s="415"/>
      <c r="I93" s="139"/>
      <c r="J93" s="416"/>
      <c r="K93" s="416"/>
      <c r="L93" s="416"/>
      <c r="M93" s="416"/>
      <c r="N93" s="416"/>
    </row>
    <row r="94" spans="2:14" ht="18.75" customHeight="1">
      <c r="B94" s="417" t="s">
        <v>57</v>
      </c>
      <c r="C94" s="418"/>
      <c r="D94" s="148">
        <v>14372.98265</v>
      </c>
      <c r="E94" s="74"/>
      <c r="F94" s="140" t="s">
        <v>137</v>
      </c>
      <c r="G94" s="413"/>
      <c r="H94" s="413"/>
      <c r="I94" s="141"/>
      <c r="J94" s="416"/>
      <c r="K94" s="416"/>
      <c r="L94" s="416"/>
      <c r="M94" s="416"/>
      <c r="N94" s="416"/>
    </row>
    <row r="95" spans="6:13" ht="9.75" customHeight="1" hidden="1">
      <c r="F95" s="73"/>
      <c r="G95" s="413"/>
      <c r="H95" s="413"/>
      <c r="I95" s="73"/>
      <c r="J95" s="74"/>
      <c r="K95" s="74"/>
      <c r="L95" s="74"/>
      <c r="M95" s="74"/>
    </row>
    <row r="96" spans="2:13" ht="22.5" customHeight="1" hidden="1">
      <c r="B96" s="411" t="s">
        <v>60</v>
      </c>
      <c r="C96" s="412"/>
      <c r="D96" s="86">
        <v>0</v>
      </c>
      <c r="E96" s="56" t="s">
        <v>24</v>
      </c>
      <c r="F96" s="73"/>
      <c r="G96" s="413"/>
      <c r="H96" s="413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4"/>
      <c r="P98" s="414"/>
    </row>
    <row r="99" spans="15:16" ht="15">
      <c r="O99" s="413"/>
      <c r="P99" s="413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7" sqref="G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0" t="s">
        <v>177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172</v>
      </c>
      <c r="N3" s="423" t="s">
        <v>173</v>
      </c>
      <c r="O3" s="423"/>
      <c r="P3" s="423"/>
      <c r="Q3" s="423"/>
      <c r="R3" s="423"/>
    </row>
    <row r="4" spans="1:18" ht="22.5" customHeight="1">
      <c r="A4" s="436"/>
      <c r="B4" s="438"/>
      <c r="C4" s="439"/>
      <c r="D4" s="440"/>
      <c r="E4" s="446" t="s">
        <v>170</v>
      </c>
      <c r="F4" s="448" t="s">
        <v>34</v>
      </c>
      <c r="G4" s="421" t="s">
        <v>171</v>
      </c>
      <c r="H4" s="430" t="s">
        <v>175</v>
      </c>
      <c r="I4" s="421" t="s">
        <v>122</v>
      </c>
      <c r="J4" s="430" t="s">
        <v>123</v>
      </c>
      <c r="K4" s="248" t="s">
        <v>65</v>
      </c>
      <c r="L4" s="283" t="s">
        <v>64</v>
      </c>
      <c r="M4" s="430"/>
      <c r="N4" s="432" t="s">
        <v>178</v>
      </c>
      <c r="O4" s="421" t="s">
        <v>50</v>
      </c>
      <c r="P4" s="423" t="s">
        <v>49</v>
      </c>
      <c r="Q4" s="284" t="s">
        <v>65</v>
      </c>
      <c r="R4" s="285" t="s">
        <v>64</v>
      </c>
    </row>
    <row r="5" spans="1:18" ht="67.5" customHeight="1">
      <c r="A5" s="437"/>
      <c r="B5" s="438"/>
      <c r="C5" s="439"/>
      <c r="D5" s="440"/>
      <c r="E5" s="447"/>
      <c r="F5" s="449"/>
      <c r="G5" s="422"/>
      <c r="H5" s="431"/>
      <c r="I5" s="422"/>
      <c r="J5" s="431"/>
      <c r="K5" s="424" t="s">
        <v>174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19"/>
      <c r="O89" s="419"/>
    </row>
    <row r="90" spans="3:15" ht="15">
      <c r="C90" s="87">
        <v>42550</v>
      </c>
      <c r="D90" s="31">
        <v>11029.3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42545</v>
      </c>
      <c r="D91" s="31">
        <v>6499.7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9447.89588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168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162</v>
      </c>
      <c r="N3" s="445" t="s">
        <v>163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158</v>
      </c>
      <c r="F4" s="452" t="s">
        <v>34</v>
      </c>
      <c r="G4" s="421" t="s">
        <v>159</v>
      </c>
      <c r="H4" s="430" t="s">
        <v>160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169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161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27"/>
      <c r="H88" s="427"/>
      <c r="I88" s="427"/>
      <c r="J88" s="42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19"/>
      <c r="O89" s="419"/>
    </row>
    <row r="90" spans="3:15" ht="15">
      <c r="C90" s="87">
        <v>42520</v>
      </c>
      <c r="D90" s="31">
        <v>8891</v>
      </c>
      <c r="F90" s="124" t="s">
        <v>59</v>
      </c>
      <c r="G90" s="413"/>
      <c r="H90" s="413"/>
      <c r="I90" s="131"/>
      <c r="J90" s="416"/>
      <c r="K90" s="416"/>
      <c r="L90" s="416"/>
      <c r="M90" s="416"/>
      <c r="N90" s="419"/>
      <c r="O90" s="419"/>
    </row>
    <row r="91" spans="3:15" ht="15.75" customHeight="1">
      <c r="C91" s="87">
        <v>42517</v>
      </c>
      <c r="D91" s="31">
        <v>7356.3</v>
      </c>
      <c r="F91" s="73"/>
      <c r="G91" s="413"/>
      <c r="H91" s="413"/>
      <c r="I91" s="131"/>
      <c r="J91" s="420"/>
      <c r="K91" s="420"/>
      <c r="L91" s="420"/>
      <c r="M91" s="420"/>
      <c r="N91" s="419"/>
      <c r="O91" s="419"/>
    </row>
    <row r="92" spans="3:13" ht="15.75" customHeight="1">
      <c r="C92" s="87"/>
      <c r="F92" s="73"/>
      <c r="G92" s="415"/>
      <c r="H92" s="415"/>
      <c r="I92" s="139"/>
      <c r="J92" s="416"/>
      <c r="K92" s="416"/>
      <c r="L92" s="416"/>
      <c r="M92" s="416"/>
    </row>
    <row r="93" spans="2:13" ht="18.75" customHeight="1">
      <c r="B93" s="417" t="s">
        <v>57</v>
      </c>
      <c r="C93" s="418"/>
      <c r="D93" s="148">
        <v>2811.04042</v>
      </c>
      <c r="E93" s="74"/>
      <c r="F93" s="140" t="s">
        <v>137</v>
      </c>
      <c r="G93" s="413"/>
      <c r="H93" s="413"/>
      <c r="I93" s="141"/>
      <c r="J93" s="416"/>
      <c r="K93" s="416"/>
      <c r="L93" s="416"/>
      <c r="M93" s="416"/>
    </row>
    <row r="94" spans="6:12" ht="9.75" customHeight="1">
      <c r="F94" s="73"/>
      <c r="G94" s="413"/>
      <c r="H94" s="413"/>
      <c r="I94" s="73"/>
      <c r="J94" s="74"/>
      <c r="K94" s="74"/>
      <c r="L94" s="74"/>
    </row>
    <row r="95" spans="2:12" ht="22.5" customHeight="1">
      <c r="B95" s="411" t="s">
        <v>60</v>
      </c>
      <c r="C95" s="412"/>
      <c r="D95" s="86">
        <v>0</v>
      </c>
      <c r="E95" s="56" t="s">
        <v>24</v>
      </c>
      <c r="F95" s="73"/>
      <c r="G95" s="413"/>
      <c r="H95" s="413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4"/>
      <c r="O97" s="414"/>
    </row>
    <row r="98" spans="14:15" ht="15">
      <c r="N98" s="413"/>
      <c r="O98" s="413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156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153</v>
      </c>
      <c r="N3" s="445" t="s">
        <v>154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150</v>
      </c>
      <c r="F4" s="452" t="s">
        <v>34</v>
      </c>
      <c r="G4" s="421" t="s">
        <v>151</v>
      </c>
      <c r="H4" s="430" t="s">
        <v>152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157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155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27"/>
      <c r="H84" s="427"/>
      <c r="I84" s="427"/>
      <c r="J84" s="42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19"/>
      <c r="O85" s="419"/>
    </row>
    <row r="86" spans="3:15" ht="15">
      <c r="C86" s="87">
        <v>42488</v>
      </c>
      <c r="D86" s="31">
        <v>11419.7</v>
      </c>
      <c r="F86" s="124" t="s">
        <v>59</v>
      </c>
      <c r="G86" s="413"/>
      <c r="H86" s="413"/>
      <c r="I86" s="131"/>
      <c r="J86" s="416"/>
      <c r="K86" s="416"/>
      <c r="L86" s="416"/>
      <c r="M86" s="416"/>
      <c r="N86" s="419"/>
      <c r="O86" s="419"/>
    </row>
    <row r="87" spans="3:15" ht="15.75" customHeight="1">
      <c r="C87" s="87">
        <v>42487</v>
      </c>
      <c r="D87" s="31">
        <v>7800.7</v>
      </c>
      <c r="F87" s="73"/>
      <c r="G87" s="413"/>
      <c r="H87" s="413"/>
      <c r="I87" s="131"/>
      <c r="J87" s="420"/>
      <c r="K87" s="420"/>
      <c r="L87" s="420"/>
      <c r="M87" s="420"/>
      <c r="N87" s="419"/>
      <c r="O87" s="419"/>
    </row>
    <row r="88" spans="3:13" ht="15.75" customHeight="1">
      <c r="C88" s="87"/>
      <c r="F88" s="73"/>
      <c r="G88" s="415"/>
      <c r="H88" s="415"/>
      <c r="I88" s="139"/>
      <c r="J88" s="416"/>
      <c r="K88" s="416"/>
      <c r="L88" s="416"/>
      <c r="M88" s="416"/>
    </row>
    <row r="89" spans="2:13" ht="18.75" customHeight="1">
      <c r="B89" s="417" t="s">
        <v>57</v>
      </c>
      <c r="C89" s="418"/>
      <c r="D89" s="148">
        <v>9087.9705</v>
      </c>
      <c r="E89" s="74"/>
      <c r="F89" s="140" t="s">
        <v>137</v>
      </c>
      <c r="G89" s="413"/>
      <c r="H89" s="413"/>
      <c r="I89" s="141"/>
      <c r="J89" s="416"/>
      <c r="K89" s="416"/>
      <c r="L89" s="416"/>
      <c r="M89" s="416"/>
    </row>
    <row r="90" spans="6:12" ht="9.75" customHeight="1">
      <c r="F90" s="73"/>
      <c r="G90" s="413"/>
      <c r="H90" s="413"/>
      <c r="I90" s="73"/>
      <c r="J90" s="74"/>
      <c r="K90" s="74"/>
      <c r="L90" s="74"/>
    </row>
    <row r="91" spans="2:12" ht="22.5" customHeight="1" hidden="1">
      <c r="B91" s="411" t="s">
        <v>60</v>
      </c>
      <c r="C91" s="412"/>
      <c r="D91" s="86">
        <v>0</v>
      </c>
      <c r="E91" s="56" t="s">
        <v>24</v>
      </c>
      <c r="F91" s="73"/>
      <c r="G91" s="413"/>
      <c r="H91" s="413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3"/>
      <c r="O92" s="413"/>
    </row>
    <row r="93" spans="4:15" ht="15">
      <c r="D93" s="83"/>
      <c r="I93" s="31"/>
      <c r="N93" s="414"/>
      <c r="O93" s="414"/>
    </row>
    <row r="94" spans="14:15" ht="15">
      <c r="N94" s="413"/>
      <c r="O94" s="413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4" t="s">
        <v>148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44" t="s">
        <v>147</v>
      </c>
      <c r="N3" s="445" t="s">
        <v>143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146</v>
      </c>
      <c r="F4" s="452" t="s">
        <v>34</v>
      </c>
      <c r="G4" s="421" t="s">
        <v>141</v>
      </c>
      <c r="H4" s="430" t="s">
        <v>142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149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8.7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144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19"/>
      <c r="O84" s="419"/>
    </row>
    <row r="85" spans="3:15" ht="15">
      <c r="C85" s="87">
        <v>42459</v>
      </c>
      <c r="D85" s="31">
        <v>7576.3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42458</v>
      </c>
      <c r="D86" s="31">
        <v>9190.1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f>4343.7</f>
        <v>4343.7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139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/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128</v>
      </c>
      <c r="N3" s="445" t="s">
        <v>119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127</v>
      </c>
      <c r="F4" s="452" t="s">
        <v>34</v>
      </c>
      <c r="G4" s="421" t="s">
        <v>116</v>
      </c>
      <c r="H4" s="430" t="s">
        <v>117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32" t="s">
        <v>140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118</v>
      </c>
      <c r="L5" s="426"/>
      <c r="M5" s="431"/>
      <c r="N5" s="433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19"/>
      <c r="O84" s="419"/>
    </row>
    <row r="85" spans="3:15" ht="15">
      <c r="C85" s="87">
        <v>42426</v>
      </c>
      <c r="D85" s="31">
        <v>6256.2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42425</v>
      </c>
      <c r="D86" s="31">
        <v>3536.9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505.3</v>
      </c>
      <c r="E88" s="74"/>
      <c r="F88" s="140" t="s">
        <v>137</v>
      </c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135</v>
      </c>
      <c r="C3" s="439" t="s">
        <v>0</v>
      </c>
      <c r="D3" s="440" t="s">
        <v>121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132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129</v>
      </c>
      <c r="F4" s="452" t="s">
        <v>34</v>
      </c>
      <c r="G4" s="421" t="s">
        <v>130</v>
      </c>
      <c r="H4" s="430" t="s">
        <v>131</v>
      </c>
      <c r="I4" s="421" t="s">
        <v>122</v>
      </c>
      <c r="J4" s="430" t="s">
        <v>123</v>
      </c>
      <c r="K4" s="91" t="s">
        <v>65</v>
      </c>
      <c r="L4" s="96" t="s">
        <v>64</v>
      </c>
      <c r="M4" s="430"/>
      <c r="N4" s="455" t="s">
        <v>133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92.25" customHeight="1">
      <c r="A5" s="437"/>
      <c r="B5" s="438"/>
      <c r="C5" s="439"/>
      <c r="D5" s="440"/>
      <c r="E5" s="447"/>
      <c r="F5" s="453"/>
      <c r="G5" s="422"/>
      <c r="H5" s="431"/>
      <c r="I5" s="422"/>
      <c r="J5" s="431"/>
      <c r="K5" s="424" t="s">
        <v>134</v>
      </c>
      <c r="L5" s="426"/>
      <c r="M5" s="431"/>
      <c r="N5" s="456"/>
      <c r="O5" s="422"/>
      <c r="P5" s="423"/>
      <c r="Q5" s="424" t="s">
        <v>120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27"/>
      <c r="H83" s="427"/>
      <c r="I83" s="427"/>
      <c r="J83" s="42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19"/>
      <c r="O84" s="419"/>
    </row>
    <row r="85" spans="3:15" ht="15">
      <c r="C85" s="87">
        <v>42397</v>
      </c>
      <c r="D85" s="31">
        <v>8685</v>
      </c>
      <c r="F85" s="124" t="s">
        <v>59</v>
      </c>
      <c r="G85" s="413"/>
      <c r="H85" s="413"/>
      <c r="I85" s="131"/>
      <c r="J85" s="416"/>
      <c r="K85" s="416"/>
      <c r="L85" s="416"/>
      <c r="M85" s="416"/>
      <c r="N85" s="419"/>
      <c r="O85" s="419"/>
    </row>
    <row r="86" spans="3:15" ht="15.75" customHeight="1">
      <c r="C86" s="87">
        <v>42396</v>
      </c>
      <c r="D86" s="31">
        <v>4820.3</v>
      </c>
      <c r="F86" s="73"/>
      <c r="G86" s="413"/>
      <c r="H86" s="413"/>
      <c r="I86" s="131"/>
      <c r="J86" s="420"/>
      <c r="K86" s="420"/>
      <c r="L86" s="420"/>
      <c r="M86" s="420"/>
      <c r="N86" s="419"/>
      <c r="O86" s="419"/>
    </row>
    <row r="87" spans="3:13" ht="15.75" customHeight="1">
      <c r="C87" s="87"/>
      <c r="F87" s="73"/>
      <c r="G87" s="415"/>
      <c r="H87" s="415"/>
      <c r="I87" s="139"/>
      <c r="J87" s="416"/>
      <c r="K87" s="416"/>
      <c r="L87" s="416"/>
      <c r="M87" s="416"/>
    </row>
    <row r="88" spans="2:13" ht="18.75" customHeight="1">
      <c r="B88" s="417" t="s">
        <v>57</v>
      </c>
      <c r="C88" s="418"/>
      <c r="D88" s="148">
        <v>300.92</v>
      </c>
      <c r="E88" s="74"/>
      <c r="F88" s="140"/>
      <c r="G88" s="413"/>
      <c r="H88" s="413"/>
      <c r="I88" s="141"/>
      <c r="J88" s="416"/>
      <c r="K88" s="416"/>
      <c r="L88" s="416"/>
      <c r="M88" s="416"/>
    </row>
    <row r="89" spans="6:12" ht="9.75" customHeight="1">
      <c r="F89" s="73"/>
      <c r="G89" s="413"/>
      <c r="H89" s="413"/>
      <c r="I89" s="73"/>
      <c r="J89" s="74"/>
      <c r="K89" s="74"/>
      <c r="L89" s="74"/>
    </row>
    <row r="90" spans="2:12" ht="22.5" customHeight="1" hidden="1">
      <c r="B90" s="411" t="s">
        <v>60</v>
      </c>
      <c r="C90" s="412"/>
      <c r="D90" s="86">
        <v>0</v>
      </c>
      <c r="E90" s="56" t="s">
        <v>24</v>
      </c>
      <c r="F90" s="73"/>
      <c r="G90" s="413"/>
      <c r="H90" s="413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3"/>
      <c r="O91" s="413"/>
    </row>
    <row r="92" spans="4:15" ht="15">
      <c r="D92" s="83"/>
      <c r="I92" s="31"/>
      <c r="N92" s="414"/>
      <c r="O92" s="414"/>
    </row>
    <row r="93" spans="14:15" ht="15">
      <c r="N93" s="413"/>
      <c r="O93" s="413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4" t="s">
        <v>114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92"/>
      <c r="R1" s="93"/>
    </row>
    <row r="2" spans="2:18" s="1" customFormat="1" ht="15.75" customHeight="1">
      <c r="B2" s="451"/>
      <c r="C2" s="451"/>
      <c r="D2" s="45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36"/>
      <c r="B3" s="438" t="s">
        <v>136</v>
      </c>
      <c r="C3" s="439" t="s">
        <v>0</v>
      </c>
      <c r="D3" s="440" t="s">
        <v>115</v>
      </c>
      <c r="E3" s="34"/>
      <c r="F3" s="441" t="s">
        <v>26</v>
      </c>
      <c r="G3" s="442"/>
      <c r="H3" s="442"/>
      <c r="I3" s="442"/>
      <c r="J3" s="443"/>
      <c r="K3" s="89"/>
      <c r="L3" s="89"/>
      <c r="M3" s="454" t="s">
        <v>107</v>
      </c>
      <c r="N3" s="445" t="s">
        <v>66</v>
      </c>
      <c r="O3" s="445"/>
      <c r="P3" s="445"/>
      <c r="Q3" s="445"/>
      <c r="R3" s="445"/>
    </row>
    <row r="4" spans="1:18" ht="22.5" customHeight="1">
      <c r="A4" s="436"/>
      <c r="B4" s="438"/>
      <c r="C4" s="439"/>
      <c r="D4" s="440"/>
      <c r="E4" s="446" t="s">
        <v>104</v>
      </c>
      <c r="F4" s="457" t="s">
        <v>34</v>
      </c>
      <c r="G4" s="421" t="s">
        <v>109</v>
      </c>
      <c r="H4" s="430" t="s">
        <v>110</v>
      </c>
      <c r="I4" s="421" t="s">
        <v>105</v>
      </c>
      <c r="J4" s="430" t="s">
        <v>106</v>
      </c>
      <c r="K4" s="91" t="s">
        <v>65</v>
      </c>
      <c r="L4" s="96" t="s">
        <v>64</v>
      </c>
      <c r="M4" s="430"/>
      <c r="N4" s="455" t="s">
        <v>103</v>
      </c>
      <c r="O4" s="421" t="s">
        <v>50</v>
      </c>
      <c r="P4" s="423" t="s">
        <v>49</v>
      </c>
      <c r="Q4" s="97" t="s">
        <v>65</v>
      </c>
      <c r="R4" s="98" t="s">
        <v>64</v>
      </c>
    </row>
    <row r="5" spans="1:18" ht="76.5" customHeight="1">
      <c r="A5" s="437"/>
      <c r="B5" s="438"/>
      <c r="C5" s="439"/>
      <c r="D5" s="440"/>
      <c r="E5" s="447"/>
      <c r="F5" s="458"/>
      <c r="G5" s="422"/>
      <c r="H5" s="431"/>
      <c r="I5" s="422"/>
      <c r="J5" s="431"/>
      <c r="K5" s="424" t="s">
        <v>108</v>
      </c>
      <c r="L5" s="426"/>
      <c r="M5" s="431"/>
      <c r="N5" s="456"/>
      <c r="O5" s="422"/>
      <c r="P5" s="423"/>
      <c r="Q5" s="424" t="s">
        <v>126</v>
      </c>
      <c r="R5" s="42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27"/>
      <c r="H82" s="427"/>
      <c r="I82" s="427"/>
      <c r="J82" s="42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19"/>
      <c r="O83" s="419"/>
    </row>
    <row r="84" spans="3:15" ht="15">
      <c r="C84" s="87">
        <v>42397</v>
      </c>
      <c r="D84" s="31">
        <v>8685</v>
      </c>
      <c r="F84" s="166" t="s">
        <v>59</v>
      </c>
      <c r="G84" s="413"/>
      <c r="H84" s="413"/>
      <c r="I84" s="131"/>
      <c r="J84" s="416"/>
      <c r="K84" s="416"/>
      <c r="L84" s="416"/>
      <c r="M84" s="416"/>
      <c r="N84" s="419"/>
      <c r="O84" s="419"/>
    </row>
    <row r="85" spans="3:15" ht="15.75" customHeight="1">
      <c r="C85" s="87">
        <v>42396</v>
      </c>
      <c r="D85" s="31">
        <v>4820.3</v>
      </c>
      <c r="F85" s="167"/>
      <c r="G85" s="413"/>
      <c r="H85" s="413"/>
      <c r="I85" s="131"/>
      <c r="J85" s="420"/>
      <c r="K85" s="420"/>
      <c r="L85" s="420"/>
      <c r="M85" s="420"/>
      <c r="N85" s="419"/>
      <c r="O85" s="419"/>
    </row>
    <row r="86" spans="3:13" ht="15.75" customHeight="1">
      <c r="C86" s="87"/>
      <c r="F86" s="167"/>
      <c r="G86" s="415"/>
      <c r="H86" s="415"/>
      <c r="I86" s="139"/>
      <c r="J86" s="416"/>
      <c r="K86" s="416"/>
      <c r="L86" s="416"/>
      <c r="M86" s="416"/>
    </row>
    <row r="87" spans="2:13" ht="18.75" customHeight="1">
      <c r="B87" s="417" t="s">
        <v>57</v>
      </c>
      <c r="C87" s="418"/>
      <c r="D87" s="148">
        <v>300.92</v>
      </c>
      <c r="E87" s="74"/>
      <c r="F87" s="168"/>
      <c r="G87" s="413"/>
      <c r="H87" s="413"/>
      <c r="I87" s="141"/>
      <c r="J87" s="416"/>
      <c r="K87" s="416"/>
      <c r="L87" s="416"/>
      <c r="M87" s="416"/>
    </row>
    <row r="88" spans="6:12" ht="9.75" customHeight="1">
      <c r="F88" s="167"/>
      <c r="G88" s="413"/>
      <c r="H88" s="413"/>
      <c r="I88" s="73"/>
      <c r="J88" s="74"/>
      <c r="K88" s="74"/>
      <c r="L88" s="74"/>
    </row>
    <row r="89" spans="2:12" ht="22.5" customHeight="1" hidden="1">
      <c r="B89" s="411" t="s">
        <v>60</v>
      </c>
      <c r="C89" s="412"/>
      <c r="D89" s="86">
        <v>0</v>
      </c>
      <c r="E89" s="56" t="s">
        <v>24</v>
      </c>
      <c r="F89" s="167"/>
      <c r="G89" s="413"/>
      <c r="H89" s="413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3"/>
      <c r="O90" s="413"/>
    </row>
    <row r="91" spans="4:15" ht="15">
      <c r="D91" s="83"/>
      <c r="I91" s="31"/>
      <c r="N91" s="414"/>
      <c r="O91" s="414"/>
    </row>
    <row r="92" spans="14:15" ht="15">
      <c r="N92" s="413"/>
      <c r="O92" s="413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2016-08-23T06:48:07Z</cp:lastPrinted>
  <dcterms:created xsi:type="dcterms:W3CDTF">2003-07-28T11:27:56Z</dcterms:created>
  <dcterms:modified xsi:type="dcterms:W3CDTF">2016-08-23T06:48:43Z</dcterms:modified>
  <cp:category/>
  <cp:version/>
  <cp:contentType/>
  <cp:contentStatus/>
</cp:coreProperties>
</file>